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minsebastjan-my.sharepoint.com/personal/arek_adminsebastjan_onmicrosoft_com/Documents/"/>
    </mc:Choice>
  </mc:AlternateContent>
  <xr:revisionPtr revIDLastSave="0" documentId="8_{301BB2AA-CED3-4B21-B109-1886682F92BE}" xr6:coauthVersionLast="47" xr6:coauthVersionMax="47" xr10:uidLastSave="{00000000-0000-0000-0000-000000000000}"/>
  <bookViews>
    <workbookView xWindow="-120" yWindow="-120" windowWidth="29040" windowHeight="15840" xr2:uid="{8AB73640-52B5-401A-A9A9-88B3EC7E99C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D37" i="1"/>
  <c r="D41" i="1"/>
  <c r="D33" i="1"/>
  <c r="D34" i="1" s="1"/>
  <c r="D28" i="1"/>
  <c r="D30" i="1" s="1"/>
  <c r="D31" i="1" s="1"/>
  <c r="D36" i="1" l="1"/>
  <c r="D35" i="1"/>
  <c r="D38" i="1" s="1"/>
  <c r="M11" i="1"/>
  <c r="M12" i="1"/>
  <c r="M13" i="1"/>
  <c r="M14" i="1"/>
  <c r="M15" i="1"/>
  <c r="M16" i="1"/>
  <c r="M17" i="1"/>
  <c r="M10" i="1"/>
  <c r="K18" i="1"/>
  <c r="G10" i="1"/>
  <c r="H19" i="1"/>
  <c r="H20" i="1" s="1"/>
  <c r="G19" i="1"/>
  <c r="G20" i="1" s="1"/>
  <c r="F19" i="1"/>
  <c r="F20" i="1" s="1"/>
  <c r="E19" i="1"/>
  <c r="E20" i="1" s="1"/>
  <c r="H12" i="1"/>
  <c r="H14" i="1" s="1"/>
  <c r="F12" i="1"/>
  <c r="F13" i="1" s="1"/>
  <c r="F15" i="1" s="1"/>
  <c r="E12" i="1"/>
  <c r="E13" i="1" s="1"/>
  <c r="E15" i="1" s="1"/>
  <c r="L6" i="1" l="1"/>
  <c r="M21" i="1"/>
  <c r="G11" i="1"/>
  <c r="G12" i="1" s="1"/>
  <c r="D39" i="1"/>
  <c r="D40" i="1" s="1"/>
  <c r="D42" i="1" s="1"/>
  <c r="M18" i="1"/>
  <c r="E24" i="1"/>
  <c r="E25" i="1" s="1"/>
  <c r="F24" i="1"/>
  <c r="F25" i="1" s="1"/>
  <c r="H13" i="1"/>
  <c r="H15" i="1" s="1"/>
  <c r="H24" i="1" s="1"/>
  <c r="H25" i="1" s="1"/>
  <c r="D47" i="1" l="1"/>
  <c r="D43" i="1"/>
  <c r="D45" i="1"/>
  <c r="M22" i="1"/>
  <c r="G13" i="1"/>
  <c r="D46" i="1" l="1"/>
  <c r="D48" i="1"/>
  <c r="G15" i="1"/>
  <c r="G24" i="1" s="1"/>
  <c r="G25" i="1" s="1"/>
</calcChain>
</file>

<file path=xl/sharedStrings.xml><?xml version="1.0" encoding="utf-8"?>
<sst xmlns="http://schemas.openxmlformats.org/spreadsheetml/2006/main" count="68" uniqueCount="53">
  <si>
    <t>Kalkulator porównujący wysokość podatku dochodowego przy zadanym dochodzie</t>
  </si>
  <si>
    <t>oraz składki zdrowotnej dla skali podatkowej i podatku liniowego za 2021 i 2022 rok</t>
  </si>
  <si>
    <t xml:space="preserve">w ujęciu rocznym </t>
  </si>
  <si>
    <t>dochód</t>
  </si>
  <si>
    <t>&lt;= to pole można edytować, reszat wylicza się sama</t>
  </si>
  <si>
    <t>rok 2021</t>
  </si>
  <si>
    <t>rok 2022</t>
  </si>
  <si>
    <t>opis</t>
  </si>
  <si>
    <t>skala pod.</t>
  </si>
  <si>
    <t>liniówka</t>
  </si>
  <si>
    <t>podatek</t>
  </si>
  <si>
    <t>składka zdrowotna</t>
  </si>
  <si>
    <t>łącznie podatek + skł. zdr.</t>
  </si>
  <si>
    <t>danina solidarnościowa</t>
  </si>
  <si>
    <t>podstawa</t>
  </si>
  <si>
    <t>kwota</t>
  </si>
  <si>
    <t>łączna kwota obciążeń fiskalnych (podatki + ubezpieczenie zdrowotne</t>
  </si>
  <si>
    <t>ulga dla klasy średniej</t>
  </si>
  <si>
    <t>podstawa do ulgi dla klasy średniej</t>
  </si>
  <si>
    <t>podstawa opodatkowania</t>
  </si>
  <si>
    <t>przychód</t>
  </si>
  <si>
    <t>przychód z podziałem na stawki ryczału</t>
  </si>
  <si>
    <t>stawka</t>
  </si>
  <si>
    <t>przciętne miesięczne wyn.</t>
  </si>
  <si>
    <t>łączna kwota obciążeń fisk.</t>
  </si>
  <si>
    <t>spółka komandytowa</t>
  </si>
  <si>
    <t>faktyczna stopa opodatkowania</t>
  </si>
  <si>
    <t>udział % komplementariusz</t>
  </si>
  <si>
    <t>udział % komandytariusz</t>
  </si>
  <si>
    <t>razem % udział</t>
  </si>
  <si>
    <t>&lt;= jeżeli w tej komórce nie widnieje liczba 100 oznacza to błąd w udziale % wspólników</t>
  </si>
  <si>
    <t>dochód spółki komandytowej</t>
  </si>
  <si>
    <t>stawka CIT spółki komandytowej</t>
  </si>
  <si>
    <t>dochód netto sp.k.</t>
  </si>
  <si>
    <t>CIT spółki komandytowej</t>
  </si>
  <si>
    <t>dochód komplementariusza</t>
  </si>
  <si>
    <t>dochód komandytariusza</t>
  </si>
  <si>
    <t>&lt;= w tej komórce wpisać 9 lub 19</t>
  </si>
  <si>
    <t>składka ZUS komplementariusza</t>
  </si>
  <si>
    <t>PIT komplementariusza</t>
  </si>
  <si>
    <t>dochód zwolniony komandytar.</t>
  </si>
  <si>
    <t>podatek komandytariusza</t>
  </si>
  <si>
    <t>składka ZUS komandytariusza</t>
  </si>
  <si>
    <t>suma podatków (CIT+ PIT) i skł. zdrowotnych</t>
  </si>
  <si>
    <t>koszty dodatkowe</t>
  </si>
  <si>
    <t>suma obciążeń fisk. i kosztów dod.</t>
  </si>
  <si>
    <t>ostateczna stopa opodatkowan.</t>
  </si>
  <si>
    <t>&lt;= wpisać udział % komplementariusza</t>
  </si>
  <si>
    <t>&lt;= założyłem, że wspólnicy są osobami fizycznymi</t>
  </si>
  <si>
    <r>
      <t xml:space="preserve">tutaj =&gt; wpisać </t>
    </r>
    <r>
      <rPr>
        <u/>
        <sz val="11"/>
        <color theme="1"/>
        <rFont val="Calibri"/>
        <family val="2"/>
        <charset val="238"/>
        <scheme val="minor"/>
      </rPr>
      <t>przychód</t>
    </r>
    <r>
      <rPr>
        <sz val="11"/>
        <color theme="1"/>
        <rFont val="Calibri"/>
        <family val="2"/>
        <charset val="238"/>
        <scheme val="minor"/>
      </rPr>
      <t xml:space="preserve"> z podziałem na stawki</t>
    </r>
  </si>
  <si>
    <t>róznica pomiędzy sp.k. i podatkiem liniowym</t>
  </si>
  <si>
    <t>róznica pomiędzy sp.k. i podatkiem liniowym + koszty dodatkowe</t>
  </si>
  <si>
    <t>DO EDYCJI SĄ WYŁĄCZNIE TE KOMÓRKI, KTÓRE SĄ ZAZNACZONE NA ŻÓŁTO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</si>
</sst>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zł-415]_-;\-* #,##0.00\ [$zł-415]_-;_-* &quot;-&quot;??\ [$zł-415]_-;_-@_-"/>
    <numFmt numFmtId="165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center"/>
    </xf>
    <xf numFmtId="164" fontId="3" fillId="2" borderId="1" xfId="0" applyNumberFormat="1" applyFont="1" applyFill="1" applyBorder="1"/>
    <xf numFmtId="0" fontId="2" fillId="0" borderId="0" xfId="0" applyFont="1"/>
    <xf numFmtId="164" fontId="0" fillId="0" borderId="0" xfId="0" applyNumberFormat="1"/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/>
    <xf numFmtId="0" fontId="0" fillId="0" borderId="0" xfId="0" applyProtection="1">
      <protection locked="0"/>
    </xf>
    <xf numFmtId="0" fontId="0" fillId="0" borderId="1" xfId="0" applyBorder="1" applyAlignment="1">
      <alignment horizontal="center"/>
    </xf>
    <xf numFmtId="164" fontId="2" fillId="0" borderId="1" xfId="0" applyNumberFormat="1" applyFont="1" applyBorder="1"/>
    <xf numFmtId="165" fontId="0" fillId="0" borderId="1" xfId="0" applyNumberFormat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165" fontId="0" fillId="0" borderId="1" xfId="0" applyNumberFormat="1" applyBorder="1"/>
    <xf numFmtId="10" fontId="0" fillId="0" borderId="1" xfId="1" applyNumberFormat="1" applyFont="1" applyBorder="1"/>
    <xf numFmtId="165" fontId="2" fillId="0" borderId="0" xfId="0" applyNumberFormat="1" applyFont="1"/>
    <xf numFmtId="10" fontId="0" fillId="0" borderId="1" xfId="1" applyNumberFormat="1" applyFont="1" applyBorder="1" applyAlignment="1">
      <alignment horizontal="center"/>
    </xf>
    <xf numFmtId="0" fontId="0" fillId="0" borderId="1" xfId="0" applyBorder="1"/>
    <xf numFmtId="10" fontId="0" fillId="2" borderId="1" xfId="1" applyNumberFormat="1" applyFont="1" applyFill="1" applyBorder="1"/>
    <xf numFmtId="165" fontId="0" fillId="2" borderId="1" xfId="0" applyNumberFormat="1" applyFill="1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65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 applyProtection="1">
      <alignment horizontal="center" wrapText="1"/>
      <protection locked="0"/>
    </xf>
    <xf numFmtId="165" fontId="2" fillId="0" borderId="1" xfId="0" applyNumberFormat="1" applyFont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2C861-F2BE-4BD6-B05C-8B18D2D34641}">
  <dimension ref="B2:M48"/>
  <sheetViews>
    <sheetView tabSelected="1" zoomScaleNormal="100" workbookViewId="0">
      <selection activeCell="C7" sqref="C7"/>
    </sheetView>
  </sheetViews>
  <sheetFormatPr defaultRowHeight="15" x14ac:dyDescent="0.25"/>
  <cols>
    <col min="3" max="3" width="22.140625" customWidth="1"/>
    <col min="4" max="4" width="18.140625" customWidth="1"/>
    <col min="5" max="5" width="15.7109375" customWidth="1"/>
    <col min="6" max="6" width="15.85546875" customWidth="1"/>
    <col min="7" max="7" width="15.42578125" customWidth="1"/>
    <col min="8" max="8" width="15.85546875" customWidth="1"/>
    <col min="10" max="10" width="10.140625" customWidth="1"/>
    <col min="11" max="11" width="13.5703125" customWidth="1"/>
    <col min="12" max="12" width="11.5703125" customWidth="1"/>
    <col min="13" max="13" width="12.42578125" customWidth="1"/>
  </cols>
  <sheetData>
    <row r="2" spans="2:13" x14ac:dyDescent="0.25">
      <c r="B2" t="s">
        <v>0</v>
      </c>
    </row>
    <row r="3" spans="2:13" x14ac:dyDescent="0.25">
      <c r="B3" t="s">
        <v>1</v>
      </c>
    </row>
    <row r="4" spans="2:13" x14ac:dyDescent="0.25">
      <c r="B4" t="s">
        <v>2</v>
      </c>
      <c r="G4" t="s">
        <v>52</v>
      </c>
    </row>
    <row r="6" spans="2:13" ht="18.75" x14ac:dyDescent="0.3">
      <c r="B6" s="1" t="s">
        <v>3</v>
      </c>
      <c r="C6" s="2">
        <v>0</v>
      </c>
      <c r="D6" s="3" t="s">
        <v>4</v>
      </c>
      <c r="K6" s="8" t="s">
        <v>20</v>
      </c>
      <c r="L6" s="29">
        <f>K18</f>
        <v>0</v>
      </c>
      <c r="M6" s="22"/>
    </row>
    <row r="7" spans="2:13" x14ac:dyDescent="0.25">
      <c r="C7" s="4"/>
    </row>
    <row r="8" spans="2:13" x14ac:dyDescent="0.25">
      <c r="B8" s="25"/>
      <c r="C8" s="25"/>
      <c r="D8" s="25"/>
      <c r="E8" s="24" t="s">
        <v>5</v>
      </c>
      <c r="F8" s="24"/>
      <c r="G8" s="24" t="s">
        <v>6</v>
      </c>
      <c r="H8" s="24"/>
      <c r="K8" s="22" t="s">
        <v>21</v>
      </c>
      <c r="L8" s="22"/>
      <c r="M8" s="22"/>
    </row>
    <row r="9" spans="2:13" ht="15.75" customHeight="1" x14ac:dyDescent="0.25">
      <c r="B9" s="24" t="s">
        <v>7</v>
      </c>
      <c r="C9" s="24"/>
      <c r="D9" s="24"/>
      <c r="E9" s="5" t="s">
        <v>8</v>
      </c>
      <c r="F9" s="5" t="s">
        <v>9</v>
      </c>
      <c r="G9" s="5" t="s">
        <v>8</v>
      </c>
      <c r="H9" s="5" t="s">
        <v>9</v>
      </c>
      <c r="K9" s="11" t="s">
        <v>15</v>
      </c>
      <c r="L9" s="11" t="s">
        <v>22</v>
      </c>
      <c r="M9" s="11" t="s">
        <v>10</v>
      </c>
    </row>
    <row r="10" spans="2:13" ht="15.75" customHeight="1" x14ac:dyDescent="0.25">
      <c r="B10" s="26" t="s">
        <v>18</v>
      </c>
      <c r="C10" s="27"/>
      <c r="D10" s="28"/>
      <c r="E10" s="10">
        <v>0</v>
      </c>
      <c r="F10" s="10">
        <v>0</v>
      </c>
      <c r="G10" s="10">
        <f>IF(AND(C6&gt;=68412,C6&lt;=133692),C6,0)</f>
        <v>0</v>
      </c>
      <c r="H10" s="10">
        <v>0</v>
      </c>
      <c r="J10" s="19" t="s">
        <v>49</v>
      </c>
      <c r="K10" s="18">
        <v>0</v>
      </c>
      <c r="L10" s="13">
        <v>0.17</v>
      </c>
      <c r="M10" s="12">
        <f>K10*L10</f>
        <v>0</v>
      </c>
    </row>
    <row r="11" spans="2:13" ht="15.75" customHeight="1" x14ac:dyDescent="0.25">
      <c r="B11" s="26" t="s">
        <v>17</v>
      </c>
      <c r="C11" s="27"/>
      <c r="D11" s="28"/>
      <c r="E11" s="10">
        <v>0</v>
      </c>
      <c r="F11" s="10">
        <v>0</v>
      </c>
      <c r="G11" s="10">
        <f>IF(G10=0,0,IF(G10&lt;=102588,((C6*0.0668)-4566)/0.17,((C6*(-0.0735))+9829)/0.17))</f>
        <v>0</v>
      </c>
      <c r="H11" s="10">
        <v>0</v>
      </c>
      <c r="J11" s="20"/>
      <c r="K11" s="18">
        <v>0</v>
      </c>
      <c r="L11" s="13">
        <v>0.15</v>
      </c>
      <c r="M11" s="12">
        <f t="shared" ref="M11:M17" si="0">K11*L11</f>
        <v>0</v>
      </c>
    </row>
    <row r="12" spans="2:13" x14ac:dyDescent="0.25">
      <c r="B12" s="32" t="s">
        <v>19</v>
      </c>
      <c r="C12" s="32"/>
      <c r="D12" s="32"/>
      <c r="E12" s="6">
        <f>IF(C6&lt;=3088.94,0,ROUND($C$6,0))</f>
        <v>0</v>
      </c>
      <c r="F12" s="6">
        <f t="shared" ref="F12:H12" si="1">ROUND($C$6,0)</f>
        <v>0</v>
      </c>
      <c r="G12" s="6">
        <f>C6-G11</f>
        <v>0</v>
      </c>
      <c r="H12" s="6">
        <f t="shared" si="1"/>
        <v>0</v>
      </c>
      <c r="J12" s="20"/>
      <c r="K12" s="18">
        <v>0</v>
      </c>
      <c r="L12" s="13">
        <v>0.14000000000000001</v>
      </c>
      <c r="M12" s="12">
        <f t="shared" si="0"/>
        <v>0</v>
      </c>
    </row>
    <row r="13" spans="2:13" x14ac:dyDescent="0.25">
      <c r="B13" s="24" t="s">
        <v>10</v>
      </c>
      <c r="C13" s="24"/>
      <c r="D13" s="24"/>
      <c r="E13" s="6">
        <f>IF(E12=0,0,IF(E12&lt;=85528,(E12*0.17)-525.12,((E12-85528)*0.32)+14539.76))</f>
        <v>0</v>
      </c>
      <c r="F13" s="6">
        <f>ROUND(F12*0.19,0)</f>
        <v>0</v>
      </c>
      <c r="G13" s="6">
        <f>IF(C6&lt;=30000,0,IF(G12&lt;=120000,(G12*0.17)-5100,((G12-120000)*0.32)+15300))</f>
        <v>0</v>
      </c>
      <c r="H13" s="6">
        <f>H12*0.19</f>
        <v>0</v>
      </c>
      <c r="J13" s="20"/>
      <c r="K13" s="18">
        <v>0</v>
      </c>
      <c r="L13" s="13">
        <v>0.12</v>
      </c>
      <c r="M13" s="12">
        <f t="shared" si="0"/>
        <v>0</v>
      </c>
    </row>
    <row r="14" spans="2:13" x14ac:dyDescent="0.25">
      <c r="B14" s="24" t="s">
        <v>11</v>
      </c>
      <c r="C14" s="24"/>
      <c r="D14" s="24"/>
      <c r="E14" s="6">
        <v>4581.72</v>
      </c>
      <c r="F14" s="6">
        <v>4581.72</v>
      </c>
      <c r="G14" s="6">
        <f>IF(C6&gt;36120,C6*0.09,3250.8)</f>
        <v>3250.8</v>
      </c>
      <c r="H14" s="6">
        <f>IF(H12*0.049&lt;=3250.8,3250.8,H12*0.049)</f>
        <v>3250.8</v>
      </c>
      <c r="J14" s="20"/>
      <c r="K14" s="18">
        <v>0</v>
      </c>
      <c r="L14" s="13">
        <v>0.1</v>
      </c>
      <c r="M14" s="12">
        <f t="shared" si="0"/>
        <v>0</v>
      </c>
    </row>
    <row r="15" spans="2:13" x14ac:dyDescent="0.25">
      <c r="B15" s="24" t="s">
        <v>12</v>
      </c>
      <c r="C15" s="24"/>
      <c r="D15" s="24"/>
      <c r="E15" s="6">
        <f>E13+E14</f>
        <v>4581.72</v>
      </c>
      <c r="F15" s="6">
        <f t="shared" ref="F15:H15" si="2">F13+F14</f>
        <v>4581.72</v>
      </c>
      <c r="G15" s="6">
        <f t="shared" si="2"/>
        <v>3250.8</v>
      </c>
      <c r="H15" s="6">
        <f t="shared" si="2"/>
        <v>3250.8</v>
      </c>
      <c r="J15" s="20"/>
      <c r="K15" s="18">
        <v>0</v>
      </c>
      <c r="L15" s="13">
        <v>8.5000000000000006E-2</v>
      </c>
      <c r="M15" s="12">
        <f t="shared" si="0"/>
        <v>0</v>
      </c>
    </row>
    <row r="16" spans="2:13" x14ac:dyDescent="0.25">
      <c r="B16" s="7"/>
      <c r="C16" s="7"/>
      <c r="D16" s="7"/>
      <c r="J16" s="20"/>
      <c r="K16" s="18">
        <v>0</v>
      </c>
      <c r="L16" s="13">
        <v>5.5E-2</v>
      </c>
      <c r="M16" s="12">
        <f t="shared" si="0"/>
        <v>0</v>
      </c>
    </row>
    <row r="17" spans="2:13" x14ac:dyDescent="0.25">
      <c r="B17" s="7"/>
      <c r="C17" s="7"/>
      <c r="D17" s="7"/>
      <c r="J17" s="21"/>
      <c r="K17" s="18">
        <v>0</v>
      </c>
      <c r="L17" s="13">
        <v>0.03</v>
      </c>
      <c r="M17" s="12">
        <f t="shared" si="0"/>
        <v>0</v>
      </c>
    </row>
    <row r="18" spans="2:13" x14ac:dyDescent="0.25">
      <c r="B18" s="24" t="s">
        <v>13</v>
      </c>
      <c r="C18" s="24"/>
      <c r="D18" s="24"/>
      <c r="E18" s="30" t="s">
        <v>5</v>
      </c>
      <c r="F18" s="31"/>
      <c r="G18" s="30" t="s">
        <v>6</v>
      </c>
      <c r="H18" s="31"/>
      <c r="K18" s="14">
        <f>SUM(K10:K17)</f>
        <v>0</v>
      </c>
      <c r="M18" s="14">
        <f t="shared" ref="M18" si="3">SUM(M10:M17)</f>
        <v>0</v>
      </c>
    </row>
    <row r="19" spans="2:13" x14ac:dyDescent="0.25">
      <c r="B19" s="24" t="s">
        <v>14</v>
      </c>
      <c r="C19" s="24"/>
      <c r="D19" s="24"/>
      <c r="E19" s="6">
        <f>IF($C$6&lt;=1000000,0,$C$6-1000000)</f>
        <v>0</v>
      </c>
      <c r="F19" s="6">
        <f t="shared" ref="F19:H19" si="4">IF($C$6&lt;=1000000,0,$C$6-1000000)</f>
        <v>0</v>
      </c>
      <c r="G19" s="6">
        <f t="shared" si="4"/>
        <v>0</v>
      </c>
      <c r="H19" s="6">
        <f t="shared" si="4"/>
        <v>0</v>
      </c>
    </row>
    <row r="20" spans="2:13" x14ac:dyDescent="0.25">
      <c r="B20" s="24" t="s">
        <v>15</v>
      </c>
      <c r="C20" s="24"/>
      <c r="D20" s="24"/>
      <c r="E20" s="6">
        <f>ROUND(E19*0.04,0)</f>
        <v>0</v>
      </c>
      <c r="F20" s="6">
        <f t="shared" ref="F20:H20" si="5">ROUND(F19*0.04,0)</f>
        <v>0</v>
      </c>
      <c r="G20" s="6">
        <f t="shared" si="5"/>
        <v>0</v>
      </c>
      <c r="H20" s="6">
        <f t="shared" si="5"/>
        <v>0</v>
      </c>
      <c r="K20" s="22" t="s">
        <v>23</v>
      </c>
      <c r="L20" s="22"/>
      <c r="M20" s="12">
        <v>6000</v>
      </c>
    </row>
    <row r="21" spans="2:13" x14ac:dyDescent="0.25">
      <c r="B21" s="7"/>
      <c r="C21" s="7"/>
      <c r="D21" s="7"/>
      <c r="K21" s="22" t="s">
        <v>11</v>
      </c>
      <c r="L21" s="22"/>
      <c r="M21" s="12">
        <f>IF(K18&lt;=60000,M20*0.6*12*0.09,IF(K18&lt;=300000,M20*0.09*12,M20*1.8*12*0.09))</f>
        <v>3888</v>
      </c>
    </row>
    <row r="22" spans="2:13" x14ac:dyDescent="0.25">
      <c r="B22" s="25"/>
      <c r="C22" s="25"/>
      <c r="D22" s="25"/>
      <c r="E22" s="22" t="s">
        <v>5</v>
      </c>
      <c r="F22" s="22"/>
      <c r="G22" s="22" t="s">
        <v>6</v>
      </c>
      <c r="H22" s="22"/>
      <c r="K22" s="22" t="s">
        <v>24</v>
      </c>
      <c r="L22" s="22"/>
      <c r="M22" s="33">
        <f>M21+M18</f>
        <v>3888</v>
      </c>
    </row>
    <row r="23" spans="2:13" x14ac:dyDescent="0.25">
      <c r="B23" s="24" t="s">
        <v>7</v>
      </c>
      <c r="C23" s="24"/>
      <c r="D23" s="24"/>
      <c r="E23" s="8" t="s">
        <v>8</v>
      </c>
      <c r="F23" s="8" t="s">
        <v>9</v>
      </c>
      <c r="G23" s="8" t="s">
        <v>8</v>
      </c>
      <c r="H23" s="8" t="s">
        <v>9</v>
      </c>
      <c r="K23" s="22"/>
      <c r="L23" s="22"/>
      <c r="M23" s="33"/>
    </row>
    <row r="24" spans="2:13" ht="30.75" customHeight="1" x14ac:dyDescent="0.25">
      <c r="B24" s="32" t="s">
        <v>16</v>
      </c>
      <c r="C24" s="32"/>
      <c r="D24" s="32"/>
      <c r="E24" s="9">
        <f>E20+E15</f>
        <v>4581.72</v>
      </c>
      <c r="F24" s="9">
        <f t="shared" ref="F24:H24" si="6">F20+F15</f>
        <v>4581.72</v>
      </c>
      <c r="G24" s="9">
        <f t="shared" si="6"/>
        <v>3250.8</v>
      </c>
      <c r="H24" s="9">
        <f t="shared" si="6"/>
        <v>3250.8</v>
      </c>
    </row>
    <row r="25" spans="2:13" x14ac:dyDescent="0.25">
      <c r="B25" s="24" t="s">
        <v>26</v>
      </c>
      <c r="C25" s="24"/>
      <c r="D25" s="24"/>
      <c r="E25" s="15" t="e">
        <f>E24/$C$6</f>
        <v>#DIV/0!</v>
      </c>
      <c r="F25" s="15" t="e">
        <f t="shared" ref="F25:H25" si="7">F24/$C$6</f>
        <v>#DIV/0!</v>
      </c>
      <c r="G25" s="15" t="e">
        <f t="shared" si="7"/>
        <v>#DIV/0!</v>
      </c>
      <c r="H25" s="15" t="e">
        <f t="shared" si="7"/>
        <v>#DIV/0!</v>
      </c>
    </row>
    <row r="26" spans="2:13" ht="30" customHeight="1" x14ac:dyDescent="0.25"/>
    <row r="27" spans="2:13" x14ac:dyDescent="0.25">
      <c r="B27" s="22" t="s">
        <v>25</v>
      </c>
      <c r="C27" s="22"/>
      <c r="D27" s="22"/>
      <c r="E27" t="s">
        <v>48</v>
      </c>
    </row>
    <row r="28" spans="2:13" x14ac:dyDescent="0.25">
      <c r="B28" s="22" t="s">
        <v>31</v>
      </c>
      <c r="C28" s="22"/>
      <c r="D28" s="6">
        <f>C6</f>
        <v>0</v>
      </c>
    </row>
    <row r="29" spans="2:13" x14ac:dyDescent="0.25">
      <c r="B29" s="22" t="s">
        <v>32</v>
      </c>
      <c r="C29" s="22"/>
      <c r="D29" s="17">
        <v>0.09</v>
      </c>
      <c r="E29" t="s">
        <v>37</v>
      </c>
    </row>
    <row r="30" spans="2:13" x14ac:dyDescent="0.25">
      <c r="B30" s="22" t="s">
        <v>34</v>
      </c>
      <c r="C30" s="22"/>
      <c r="D30" s="6">
        <f>D28*D29</f>
        <v>0</v>
      </c>
    </row>
    <row r="31" spans="2:13" x14ac:dyDescent="0.25">
      <c r="B31" s="22" t="s">
        <v>33</v>
      </c>
      <c r="C31" s="22"/>
      <c r="D31" s="6">
        <f>D28-D30</f>
        <v>0</v>
      </c>
    </row>
    <row r="32" spans="2:13" x14ac:dyDescent="0.25">
      <c r="B32" s="22" t="s">
        <v>27</v>
      </c>
      <c r="C32" s="22"/>
      <c r="D32" s="17">
        <v>0.99</v>
      </c>
      <c r="E32" t="s">
        <v>47</v>
      </c>
    </row>
    <row r="33" spans="2:5" x14ac:dyDescent="0.25">
      <c r="B33" s="22" t="s">
        <v>28</v>
      </c>
      <c r="C33" s="22"/>
      <c r="D33" s="13">
        <f>1-D32</f>
        <v>1.0000000000000009E-2</v>
      </c>
    </row>
    <row r="34" spans="2:5" x14ac:dyDescent="0.25">
      <c r="B34" s="22" t="s">
        <v>29</v>
      </c>
      <c r="C34" s="22"/>
      <c r="D34" s="13">
        <f>D32+D33</f>
        <v>1</v>
      </c>
      <c r="E34" t="s">
        <v>30</v>
      </c>
    </row>
    <row r="35" spans="2:5" x14ac:dyDescent="0.25">
      <c r="B35" s="22" t="s">
        <v>35</v>
      </c>
      <c r="C35" s="22"/>
      <c r="D35" s="6">
        <f>D31*D32</f>
        <v>0</v>
      </c>
    </row>
    <row r="36" spans="2:5" x14ac:dyDescent="0.25">
      <c r="B36" s="22" t="s">
        <v>36</v>
      </c>
      <c r="C36" s="22"/>
      <c r="D36" s="6">
        <f>D31*D33</f>
        <v>0</v>
      </c>
    </row>
    <row r="37" spans="2:5" x14ac:dyDescent="0.25">
      <c r="B37" s="22" t="s">
        <v>38</v>
      </c>
      <c r="C37" s="22"/>
      <c r="D37" s="12">
        <f>M20*0.09*12</f>
        <v>6480</v>
      </c>
    </row>
    <row r="38" spans="2:5" x14ac:dyDescent="0.25">
      <c r="B38" s="22" t="s">
        <v>39</v>
      </c>
      <c r="C38" s="22"/>
      <c r="D38" s="12">
        <f>IF(D35*0.19&gt;(D30*D32),(D35*0.19)-(D32*D30),0)</f>
        <v>0</v>
      </c>
    </row>
    <row r="39" spans="2:5" x14ac:dyDescent="0.25">
      <c r="B39" s="22" t="s">
        <v>40</v>
      </c>
      <c r="C39" s="22"/>
      <c r="D39" s="12">
        <f>IF((D36/2)&lt;=60000,D36/2,60000)</f>
        <v>0</v>
      </c>
    </row>
    <row r="40" spans="2:5" x14ac:dyDescent="0.25">
      <c r="B40" s="22" t="s">
        <v>41</v>
      </c>
      <c r="C40" s="22"/>
      <c r="D40" s="6">
        <f>(D36-D39)*0.19</f>
        <v>0</v>
      </c>
    </row>
    <row r="41" spans="2:5" x14ac:dyDescent="0.25">
      <c r="B41" s="22" t="s">
        <v>42</v>
      </c>
      <c r="C41" s="22"/>
      <c r="D41" s="12">
        <f>M20*0.09*12</f>
        <v>6480</v>
      </c>
    </row>
    <row r="42" spans="2:5" ht="27.75" customHeight="1" x14ac:dyDescent="0.25">
      <c r="B42" s="23" t="s">
        <v>43</v>
      </c>
      <c r="C42" s="23"/>
      <c r="D42" s="6">
        <f>D30+D37+D38+D40+D41</f>
        <v>12960</v>
      </c>
    </row>
    <row r="43" spans="2:5" x14ac:dyDescent="0.25">
      <c r="B43" s="16" t="s">
        <v>26</v>
      </c>
      <c r="C43" s="16"/>
      <c r="D43" s="13" t="e">
        <f>D42/D28</f>
        <v>#DIV/0!</v>
      </c>
    </row>
    <row r="44" spans="2:5" x14ac:dyDescent="0.25">
      <c r="B44" s="22" t="s">
        <v>44</v>
      </c>
      <c r="C44" s="22"/>
      <c r="D44" s="18">
        <v>24000</v>
      </c>
    </row>
    <row r="45" spans="2:5" x14ac:dyDescent="0.25">
      <c r="B45" s="22" t="s">
        <v>45</v>
      </c>
      <c r="C45" s="22"/>
      <c r="D45" s="6">
        <f>D42+D44</f>
        <v>36960</v>
      </c>
    </row>
    <row r="46" spans="2:5" x14ac:dyDescent="0.25">
      <c r="B46" s="22" t="s">
        <v>46</v>
      </c>
      <c r="C46" s="22"/>
      <c r="D46" s="13" t="e">
        <f>D45/D28</f>
        <v>#DIV/0!</v>
      </c>
    </row>
    <row r="47" spans="2:5" ht="30" customHeight="1" x14ac:dyDescent="0.25">
      <c r="B47" s="23" t="s">
        <v>50</v>
      </c>
      <c r="C47" s="23"/>
      <c r="D47" s="6">
        <f>H24-D42</f>
        <v>-9709.2000000000007</v>
      </c>
    </row>
    <row r="48" spans="2:5" ht="28.5" customHeight="1" x14ac:dyDescent="0.25">
      <c r="B48" s="23" t="s">
        <v>51</v>
      </c>
      <c r="C48" s="23"/>
      <c r="D48" s="6">
        <f>H24-D45</f>
        <v>-33709.199999999997</v>
      </c>
    </row>
  </sheetData>
  <mergeCells count="49">
    <mergeCell ref="B27:D27"/>
    <mergeCell ref="B19:D19"/>
    <mergeCell ref="B47:C47"/>
    <mergeCell ref="B48:C48"/>
    <mergeCell ref="K22:L23"/>
    <mergeCell ref="B29:C29"/>
    <mergeCell ref="B30:C30"/>
    <mergeCell ref="B31:C31"/>
    <mergeCell ref="B32:C32"/>
    <mergeCell ref="B44:C44"/>
    <mergeCell ref="B45:C45"/>
    <mergeCell ref="B46:C46"/>
    <mergeCell ref="M22:M23"/>
    <mergeCell ref="B25:D25"/>
    <mergeCell ref="G22:H22"/>
    <mergeCell ref="B23:D23"/>
    <mergeCell ref="B24:D24"/>
    <mergeCell ref="B8:D8"/>
    <mergeCell ref="E8:F8"/>
    <mergeCell ref="B13:D13"/>
    <mergeCell ref="L6:M6"/>
    <mergeCell ref="K21:L21"/>
    <mergeCell ref="K20:L20"/>
    <mergeCell ref="K8:M8"/>
    <mergeCell ref="B14:D14"/>
    <mergeCell ref="B15:D15"/>
    <mergeCell ref="B18:D18"/>
    <mergeCell ref="E18:F18"/>
    <mergeCell ref="G18:H18"/>
    <mergeCell ref="G8:H8"/>
    <mergeCell ref="B9:D9"/>
    <mergeCell ref="B12:D12"/>
    <mergeCell ref="B10:D10"/>
    <mergeCell ref="J10:J17"/>
    <mergeCell ref="B38:C38"/>
    <mergeCell ref="B42:C42"/>
    <mergeCell ref="B41:C41"/>
    <mergeCell ref="B40:C40"/>
    <mergeCell ref="B39:C39"/>
    <mergeCell ref="B33:C33"/>
    <mergeCell ref="B34:C34"/>
    <mergeCell ref="B35:C35"/>
    <mergeCell ref="B36:C36"/>
    <mergeCell ref="B37:C37"/>
    <mergeCell ref="B28:C28"/>
    <mergeCell ref="B20:D20"/>
    <mergeCell ref="B22:D22"/>
    <mergeCell ref="E22:F22"/>
    <mergeCell ref="B11:D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Sebastjan</dc:creator>
  <cp:lastModifiedBy>Arkadiusz Sebastjan</cp:lastModifiedBy>
  <dcterms:created xsi:type="dcterms:W3CDTF">2021-11-18T14:08:56Z</dcterms:created>
  <dcterms:modified xsi:type="dcterms:W3CDTF">2021-12-01T11:05:10Z</dcterms:modified>
</cp:coreProperties>
</file>